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PE\Car Parking\7. Finance\"/>
    </mc:Choice>
  </mc:AlternateContent>
  <xr:revisionPtr revIDLastSave="0" documentId="8_{C781022E-B07D-4CF7-A72E-8F82DEB8D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M18" i="1"/>
  <c r="M20" i="1" s="1"/>
  <c r="L18" i="1"/>
  <c r="K18" i="1"/>
  <c r="M12" i="1"/>
  <c r="L12" i="1"/>
  <c r="M8" i="1"/>
  <c r="L8" i="1"/>
  <c r="L20" i="1" s="1"/>
  <c r="K8" i="1"/>
  <c r="J8" i="1"/>
  <c r="I8" i="1"/>
  <c r="H8" i="1"/>
  <c r="M11" i="1"/>
  <c r="K11" i="1"/>
  <c r="L11" i="1" l="1"/>
  <c r="K12" i="1" l="1"/>
  <c r="M25" i="1" l="1"/>
  <c r="L25" i="1"/>
  <c r="J15" i="1"/>
  <c r="J14" i="1"/>
  <c r="J13" i="1"/>
  <c r="J12" i="1"/>
  <c r="I12" i="1" l="1"/>
  <c r="I14" i="1" l="1"/>
  <c r="I15" i="1"/>
  <c r="I13" i="1"/>
  <c r="I11" i="1"/>
  <c r="I6" i="1"/>
  <c r="I2" i="1"/>
  <c r="I3" i="1"/>
  <c r="I4" i="1"/>
  <c r="I18" i="1" l="1"/>
  <c r="J11" i="1"/>
  <c r="J18" i="1" s="1"/>
  <c r="J20" i="1" s="1"/>
  <c r="I20" i="1"/>
  <c r="G11" i="1"/>
  <c r="G6" i="1" l="1"/>
  <c r="G14" i="1"/>
  <c r="G15" i="1"/>
  <c r="G12" i="1"/>
  <c r="G4" i="1"/>
  <c r="G3" i="1"/>
  <c r="G2" i="1"/>
  <c r="G18" i="1" l="1"/>
  <c r="G8" i="1"/>
  <c r="G20" i="1" l="1"/>
  <c r="F15" i="1"/>
  <c r="F14" i="1"/>
  <c r="E14" i="1"/>
  <c r="F12" i="1"/>
  <c r="F11" i="1"/>
  <c r="F6" i="1" l="1"/>
  <c r="F4" i="1" l="1"/>
  <c r="F3" i="1"/>
  <c r="F2" i="1"/>
  <c r="F18" i="1"/>
  <c r="F8" i="1" l="1"/>
  <c r="F20" i="1" s="1"/>
  <c r="E11" i="1"/>
  <c r="D14" i="1" l="1"/>
  <c r="E15" i="1"/>
  <c r="E12" i="1" l="1"/>
  <c r="E18" i="1" s="1"/>
  <c r="E6" i="1"/>
  <c r="E3" i="1"/>
  <c r="E4" i="1"/>
  <c r="E2" i="1"/>
  <c r="D25" i="1"/>
  <c r="D15" i="1"/>
  <c r="D13" i="1"/>
  <c r="D12" i="1"/>
  <c r="D11" i="1"/>
  <c r="D3" i="1"/>
  <c r="D2" i="1"/>
  <c r="C25" i="1"/>
  <c r="D8" i="1" l="1"/>
  <c r="E8" i="1"/>
  <c r="D18" i="1"/>
  <c r="D20" i="1" s="1"/>
  <c r="E20" i="1"/>
</calcChain>
</file>

<file path=xl/sharedStrings.xml><?xml version="1.0" encoding="utf-8"?>
<sst xmlns="http://schemas.openxmlformats.org/spreadsheetml/2006/main" count="47" uniqueCount="47">
  <si>
    <t>Income</t>
  </si>
  <si>
    <t>2009/10</t>
  </si>
  <si>
    <t>2010/11</t>
  </si>
  <si>
    <t xml:space="preserve">Pay and Display </t>
  </si>
  <si>
    <t>PCNs</t>
  </si>
  <si>
    <t xml:space="preserve">Residents Permits </t>
  </si>
  <si>
    <t xml:space="preserve">Total Income </t>
  </si>
  <si>
    <t>Expenditure</t>
  </si>
  <si>
    <t>Employee Costs (including training and IT support)</t>
  </si>
  <si>
    <t>Enforcement Costs</t>
  </si>
  <si>
    <t>CPU (Includes DVLA, TPT)</t>
  </si>
  <si>
    <t>Total Expenditure</t>
  </si>
  <si>
    <t>PCNs issued</t>
  </si>
  <si>
    <t xml:space="preserve">No. Higher level issued </t>
  </si>
  <si>
    <t xml:space="preserve">No. Lower level issued </t>
  </si>
  <si>
    <t>Total Number of PCNs issued</t>
  </si>
  <si>
    <t xml:space="preserve">Total number of PCNs paid </t>
  </si>
  <si>
    <t xml:space="preserve">No. of PCNs paid at discount </t>
  </si>
  <si>
    <t>No. of PCNs paid at face value</t>
  </si>
  <si>
    <t>No. of PCNs paid at Charge Certificate</t>
  </si>
  <si>
    <t>No. of PCNs where a representation was made</t>
  </si>
  <si>
    <t xml:space="preserve">No. of PCNs cancelled as a result of representation (mitigation) </t>
  </si>
  <si>
    <t>No. of PCNs cancelled for other reasons</t>
  </si>
  <si>
    <t>No. of representations that are rejected</t>
  </si>
  <si>
    <t xml:space="preserve">TPT Appeals and Adjudication </t>
  </si>
  <si>
    <t xml:space="preserve">No. of appeals received </t>
  </si>
  <si>
    <t xml:space="preserve">Ratio of appeals to PCNs issued </t>
  </si>
  <si>
    <t xml:space="preserve">Appeals not contested </t>
  </si>
  <si>
    <t xml:space="preserve">Appeals allowed by Adjudicator </t>
  </si>
  <si>
    <t>Appeals refused by Adjudicator</t>
  </si>
  <si>
    <t>Appeals awaiting a decision</t>
  </si>
  <si>
    <t>2011/12</t>
  </si>
  <si>
    <t>Lines, signs and car park maintenance</t>
  </si>
  <si>
    <t>Other costs</t>
  </si>
  <si>
    <t>Capital charges</t>
  </si>
  <si>
    <t xml:space="preserve">Surplus </t>
  </si>
  <si>
    <t>Other Income</t>
  </si>
  <si>
    <t>Management Fee From DCC</t>
  </si>
  <si>
    <t>2012/13</t>
  </si>
  <si>
    <t>2013/14</t>
  </si>
  <si>
    <t>2014/15</t>
  </si>
  <si>
    <t>2015/16</t>
  </si>
  <si>
    <t>2016/17</t>
  </si>
  <si>
    <t>2017/2018</t>
  </si>
  <si>
    <t>2018/2019</t>
  </si>
  <si>
    <t>2019/2020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</si>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</sst>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£&quot;#,##0;\-&quot;£&quot;#,##0"/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_-* #,##0_-;\-* #,##0_-;_-* &quot;-&quot;??_-;_-@_-"/>
    <numFmt numFmtId="166" formatCode="#,##0_ ;\-#,##0\ 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164" fontId="7" fillId="0" borderId="3" xfId="0" applyNumberFormat="1" applyFont="1" applyBorder="1"/>
    <xf numFmtId="0" fontId="8" fillId="0" borderId="0" xfId="0" applyFont="1" applyAlignment="1">
      <alignment vertical="center"/>
    </xf>
    <xf numFmtId="10" fontId="4" fillId="0" borderId="1" xfId="2" applyNumberFormat="1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0" fontId="4" fillId="3" borderId="1" xfId="0" applyNumberFormat="1" applyFont="1" applyFill="1" applyBorder="1" applyAlignment="1">
      <alignment vertical="center"/>
    </xf>
    <xf numFmtId="165" fontId="4" fillId="0" borderId="1" xfId="1" applyNumberFormat="1" applyFont="1" applyBorder="1" applyAlignment="1" applyProtection="1">
      <protection locked="0"/>
    </xf>
    <xf numFmtId="0" fontId="3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6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5" fontId="4" fillId="0" borderId="1" xfId="0" applyNumberFormat="1" applyFont="1" applyBorder="1" applyAlignment="1">
      <alignment vertical="center"/>
    </xf>
    <xf numFmtId="5" fontId="4" fillId="4" borderId="1" xfId="0" applyNumberFormat="1" applyFont="1" applyFill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9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2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110" zoomScaleNormal="110" workbookViewId="0">
      <pane xSplit="1" ySplit="1" topLeftCell="F2" activePane="bottomRight" state="frozen"/>
      <selection pane="topRight" activeCell="B1" sqref="B1"/>
      <selection pane="bottomLeft" activeCell="A5" sqref="A5"/>
      <selection pane="bottomRight" activeCell="K17" sqref="K17"/>
    </sheetView>
  </sheetViews>
  <sheetFormatPr defaultColWidth="9.140625" defaultRowHeight="12.75" x14ac:dyDescent="0.2"/>
  <cols>
    <col min="1" max="1" width="47.28515625" style="1" bestFit="1" customWidth="1"/>
    <col min="2" max="2" width="9.140625" style="1"/>
    <col min="3" max="3" width="10" style="1" bestFit="1" customWidth="1"/>
    <col min="4" max="4" width="10" style="1" customWidth="1"/>
    <col min="5" max="6" width="10" style="1" bestFit="1" customWidth="1"/>
    <col min="7" max="8" width="9.140625" style="1"/>
    <col min="9" max="9" width="10.28515625" style="1" customWidth="1"/>
    <col min="10" max="10" width="9.140625" style="1"/>
    <col min="11" max="11" width="10.5703125" style="1" bestFit="1" customWidth="1"/>
    <col min="12" max="16384" width="9.140625" style="1"/>
  </cols>
  <sheetData>
    <row r="1" spans="1:13" x14ac:dyDescent="0.2">
      <c r="A1" s="2" t="s">
        <v>0</v>
      </c>
      <c r="B1" s="2" t="s">
        <v>1</v>
      </c>
      <c r="C1" s="3" t="s">
        <v>2</v>
      </c>
      <c r="D1" s="3" t="s">
        <v>31</v>
      </c>
      <c r="E1" s="3" t="s">
        <v>38</v>
      </c>
      <c r="F1" s="3" t="s">
        <v>39</v>
      </c>
      <c r="G1" s="38" t="s">
        <v>40</v>
      </c>
      <c r="H1" s="39" t="s">
        <v>41</v>
      </c>
      <c r="I1" s="39" t="s">
        <v>42</v>
      </c>
      <c r="J1" s="37" t="s">
        <v>43</v>
      </c>
      <c r="K1" s="37" t="s">
        <v>44</v>
      </c>
      <c r="L1" s="37" t="s">
        <v>45</v>
      </c>
      <c r="M1" s="37" t="s">
        <v>46</v>
      </c>
    </row>
    <row r="2" spans="1:13" x14ac:dyDescent="0.2">
      <c r="A2" s="4" t="s">
        <v>3</v>
      </c>
      <c r="B2" s="17"/>
      <c r="C2" s="5">
        <v>515551</v>
      </c>
      <c r="D2" s="5">
        <f>656992.86-100213.58</f>
        <v>556779.28</v>
      </c>
      <c r="E2" s="5">
        <f>666581.65-100854.92</f>
        <v>565726.73</v>
      </c>
      <c r="F2" s="5">
        <f>24529.13+671043.06-111782.45</f>
        <v>583789.74000000011</v>
      </c>
      <c r="G2" s="5">
        <f>38349.2+649226.73-107609.87</f>
        <v>579966.05999999994</v>
      </c>
      <c r="H2" s="25">
        <v>625076</v>
      </c>
      <c r="I2" s="28">
        <f>669701.13-71024.5+31221.58</f>
        <v>629898.21</v>
      </c>
      <c r="J2" s="32">
        <v>615580</v>
      </c>
      <c r="K2" s="32">
        <v>672179.05</v>
      </c>
      <c r="L2" s="32">
        <v>698862.3</v>
      </c>
      <c r="M2" s="32">
        <v>583996.26</v>
      </c>
    </row>
    <row r="3" spans="1:13" x14ac:dyDescent="0.2">
      <c r="A3" s="4" t="s">
        <v>4</v>
      </c>
      <c r="B3" s="17"/>
      <c r="C3" s="6">
        <v>88765</v>
      </c>
      <c r="D3" s="6">
        <f>96235.47</f>
        <v>96235.47</v>
      </c>
      <c r="E3" s="6">
        <f>80186.81-85</f>
        <v>80101.81</v>
      </c>
      <c r="F3" s="6">
        <f>60499.24+75</f>
        <v>60574.239999999998</v>
      </c>
      <c r="G3" s="6">
        <f>182+50075.4</f>
        <v>50257.4</v>
      </c>
      <c r="H3" s="25">
        <v>56357</v>
      </c>
      <c r="I3" s="28">
        <f>50000+60-147.7</f>
        <v>49912.3</v>
      </c>
      <c r="J3" s="32">
        <v>55961</v>
      </c>
      <c r="K3" s="40">
        <v>56508.41</v>
      </c>
      <c r="L3" s="40">
        <v>45882.28</v>
      </c>
      <c r="M3" s="40">
        <v>27513.919999999998</v>
      </c>
    </row>
    <row r="4" spans="1:13" x14ac:dyDescent="0.2">
      <c r="A4" s="7" t="s">
        <v>5</v>
      </c>
      <c r="B4" s="17"/>
      <c r="C4" s="5">
        <v>12287</v>
      </c>
      <c r="D4" s="5">
        <v>12338.4</v>
      </c>
      <c r="E4" s="5">
        <f>12589.56</f>
        <v>12589.56</v>
      </c>
      <c r="F4" s="5">
        <f>11242.53+12190.2</f>
        <v>23432.730000000003</v>
      </c>
      <c r="G4" s="5">
        <f>11057.73+10317.51</f>
        <v>21375.239999999998</v>
      </c>
      <c r="H4" s="25">
        <v>19042</v>
      </c>
      <c r="I4" s="28">
        <f>8132.81+12161.66</f>
        <v>20294.47</v>
      </c>
      <c r="J4" s="32">
        <v>22328</v>
      </c>
      <c r="K4" s="32">
        <v>25432.69</v>
      </c>
      <c r="L4" s="32">
        <v>46590.62</v>
      </c>
      <c r="M4" s="32">
        <v>33819.61</v>
      </c>
    </row>
    <row r="5" spans="1:13" x14ac:dyDescent="0.2">
      <c r="A5" s="4" t="s">
        <v>37</v>
      </c>
      <c r="B5" s="17"/>
      <c r="C5" s="5">
        <v>13837</v>
      </c>
      <c r="D5" s="5">
        <v>13836.74</v>
      </c>
      <c r="E5" s="5">
        <v>13836.74</v>
      </c>
      <c r="F5" s="5">
        <v>13975</v>
      </c>
      <c r="G5" s="5">
        <v>14282.45</v>
      </c>
      <c r="H5" s="25">
        <v>14282</v>
      </c>
      <c r="I5" s="28">
        <v>14425.27</v>
      </c>
      <c r="J5" s="32">
        <v>14570</v>
      </c>
      <c r="K5" s="32">
        <v>14861</v>
      </c>
      <c r="L5" s="33">
        <v>0</v>
      </c>
      <c r="M5" s="33">
        <v>0</v>
      </c>
    </row>
    <row r="6" spans="1:13" x14ac:dyDescent="0.2">
      <c r="A6" s="4" t="s">
        <v>36</v>
      </c>
      <c r="B6" s="17"/>
      <c r="C6" s="5">
        <v>2885</v>
      </c>
      <c r="D6" s="5">
        <v>2649.88</v>
      </c>
      <c r="E6" s="5">
        <f>-84.7+524.22+1800+200</f>
        <v>2439.52</v>
      </c>
      <c r="F6" s="5">
        <f>-143.1+448.06+200</f>
        <v>504.96000000000004</v>
      </c>
      <c r="G6" s="5">
        <f>-216.05+389.85+4167.3+200</f>
        <v>4541.1000000000004</v>
      </c>
      <c r="H6" s="25">
        <v>2874</v>
      </c>
      <c r="I6" s="28">
        <f>400.72+450+575</f>
        <v>1425.72</v>
      </c>
      <c r="J6" s="32">
        <v>1666</v>
      </c>
      <c r="K6" s="32">
        <v>1482.92</v>
      </c>
      <c r="L6" s="32">
        <v>1653.94</v>
      </c>
      <c r="M6" s="32">
        <v>1462.61</v>
      </c>
    </row>
    <row r="7" spans="1:13" x14ac:dyDescent="0.2">
      <c r="A7" s="8"/>
      <c r="B7" s="8"/>
      <c r="C7" s="9"/>
      <c r="D7" s="9"/>
      <c r="E7" s="9"/>
      <c r="F7" s="9"/>
      <c r="G7" s="9"/>
      <c r="H7" s="27"/>
      <c r="I7" s="29"/>
      <c r="J7" s="29"/>
      <c r="K7" s="36"/>
      <c r="L7" s="36"/>
      <c r="M7" s="36"/>
    </row>
    <row r="8" spans="1:13" x14ac:dyDescent="0.2">
      <c r="A8" s="10" t="s">
        <v>6</v>
      </c>
      <c r="B8" s="17"/>
      <c r="C8" s="6">
        <v>633235</v>
      </c>
      <c r="D8" s="6">
        <f t="shared" ref="D8:M8" si="0">SUM(D2:D7)</f>
        <v>681839.77</v>
      </c>
      <c r="E8" s="6">
        <f t="shared" si="0"/>
        <v>674694.3600000001</v>
      </c>
      <c r="F8" s="6">
        <f t="shared" si="0"/>
        <v>682276.67</v>
      </c>
      <c r="G8" s="6">
        <f t="shared" si="0"/>
        <v>670422.24999999988</v>
      </c>
      <c r="H8" s="6">
        <f t="shared" si="0"/>
        <v>717631</v>
      </c>
      <c r="I8" s="6">
        <f t="shared" si="0"/>
        <v>715955.97</v>
      </c>
      <c r="J8" s="6">
        <f t="shared" si="0"/>
        <v>710105</v>
      </c>
      <c r="K8" s="6">
        <f t="shared" si="0"/>
        <v>770464.07000000007</v>
      </c>
      <c r="L8" s="6">
        <f t="shared" si="0"/>
        <v>792989.14</v>
      </c>
      <c r="M8" s="6">
        <f t="shared" si="0"/>
        <v>646792.4</v>
      </c>
    </row>
    <row r="9" spans="1:13" x14ac:dyDescent="0.2">
      <c r="A9" s="2"/>
      <c r="B9" s="2"/>
      <c r="C9" s="9"/>
      <c r="D9" s="9"/>
      <c r="E9" s="9"/>
      <c r="F9" s="9"/>
      <c r="G9" s="9"/>
      <c r="H9" s="27"/>
      <c r="I9" s="29"/>
      <c r="J9" s="29"/>
      <c r="K9" s="35"/>
      <c r="L9" s="35"/>
      <c r="M9" s="35"/>
    </row>
    <row r="10" spans="1:13" x14ac:dyDescent="0.2">
      <c r="A10" s="23" t="s">
        <v>7</v>
      </c>
      <c r="B10" s="24"/>
      <c r="C10" s="12"/>
      <c r="D10" s="12"/>
      <c r="E10" s="12"/>
      <c r="F10" s="12"/>
      <c r="G10" s="12"/>
      <c r="H10" s="4"/>
      <c r="I10" s="28"/>
      <c r="J10" s="4"/>
    </row>
    <row r="11" spans="1:13" x14ac:dyDescent="0.2">
      <c r="A11" s="4" t="s">
        <v>8</v>
      </c>
      <c r="B11" s="17"/>
      <c r="C11" s="14">
        <v>49377</v>
      </c>
      <c r="D11" s="21">
        <f>(24646.08*0.5*1.29)+(12275.13*0.5*1.29)+(47994*0.2*1.29)+(29236.08*0.05*1.29)+((19071.12+18888.01+20198.04)*0.15*1.29)</f>
        <v>49335.772005000006</v>
      </c>
      <c r="E11" s="21">
        <f>(25472.04*0.5*1.29)+(12736.08*0.5*1.29)+(49227*0.2*1.29)+(19230.16*0.05*1.29)+((19071.12+18888.01+20198.04)*0.15*1.29)</f>
        <v>49838.561115000004</v>
      </c>
      <c r="F11" s="21">
        <f>(26539.08*0.5*1.29)+(12737.84*0.5*1.29)+(49477*0.2*1.29)+(18432*0.05*1.29)+((19071.12+18888.01+20198.04)*0.15*1.29*1.01)</f>
        <v>50653.489918950007</v>
      </c>
      <c r="G11" s="21">
        <f>(26539.08*0.5*1.295)+(12737.84*0.5*1.295)+(49477*0.2*1.295)+(18432*0.05*1.295)+((19071.12+18888.01+20198.04)*0.15*1.295*1.01)</f>
        <v>50849.821275225004</v>
      </c>
      <c r="H11" s="25">
        <v>51161</v>
      </c>
      <c r="I11" s="28">
        <f>H11*1.01</f>
        <v>51672.61</v>
      </c>
      <c r="J11" s="30">
        <f>I11*1.01</f>
        <v>52189.3361</v>
      </c>
      <c r="K11" s="41">
        <f>J11*1</f>
        <v>52189.3361</v>
      </c>
      <c r="L11" s="41">
        <f>K11*1.02</f>
        <v>53233.122822000005</v>
      </c>
      <c r="M11" s="41">
        <f>L11*1.02</f>
        <v>54297.785278440009</v>
      </c>
    </row>
    <row r="12" spans="1:13" x14ac:dyDescent="0.2">
      <c r="A12" s="4" t="s">
        <v>9</v>
      </c>
      <c r="B12" s="17"/>
      <c r="C12" s="6">
        <v>74790</v>
      </c>
      <c r="D12" s="6">
        <f>103088.16+300+D5-D16</f>
        <v>78880.670000000013</v>
      </c>
      <c r="E12" s="6">
        <f>85643.59+E5-E16</f>
        <v>79694.899999999994</v>
      </c>
      <c r="F12" s="6">
        <f>74020.3+F5-F16</f>
        <v>75417.8</v>
      </c>
      <c r="G12" s="6">
        <f>63735.59+G5-G16</f>
        <v>67338.819999999992</v>
      </c>
      <c r="H12" s="25">
        <v>53340</v>
      </c>
      <c r="I12" s="28">
        <f>53000+I5-I16</f>
        <v>53495.770000000004</v>
      </c>
      <c r="J12" s="30">
        <f>65000+J5-J16-10029.02</f>
        <v>54553.08</v>
      </c>
      <c r="K12" s="40">
        <f>57500+K5-K16</f>
        <v>57959.41</v>
      </c>
      <c r="L12" s="40">
        <f>65152.2+L5-L16</f>
        <v>53613.11</v>
      </c>
      <c r="M12" s="40">
        <f>55000+M5-M16</f>
        <v>47335.25</v>
      </c>
    </row>
    <row r="13" spans="1:13" x14ac:dyDescent="0.2">
      <c r="A13" s="4" t="s">
        <v>32</v>
      </c>
      <c r="B13" s="17"/>
      <c r="C13" s="6">
        <v>18971</v>
      </c>
      <c r="D13" s="6">
        <f>1710.73</f>
        <v>1710.73</v>
      </c>
      <c r="E13" s="6">
        <v>27332.01</v>
      </c>
      <c r="F13" s="6">
        <v>17360.07</v>
      </c>
      <c r="G13" s="6">
        <v>12425.59</v>
      </c>
      <c r="H13" s="25">
        <v>18054</v>
      </c>
      <c r="I13" s="28">
        <f>9820.59</f>
        <v>9820.59</v>
      </c>
      <c r="J13" s="30">
        <f>9981.71</f>
        <v>9981.7099999999991</v>
      </c>
      <c r="K13" s="30">
        <v>19656</v>
      </c>
      <c r="L13" s="30">
        <v>7155</v>
      </c>
      <c r="M13" s="30">
        <v>4962</v>
      </c>
    </row>
    <row r="14" spans="1:13" x14ac:dyDescent="0.2">
      <c r="A14" s="4" t="s">
        <v>33</v>
      </c>
      <c r="B14" s="17"/>
      <c r="C14" s="6">
        <v>197297</v>
      </c>
      <c r="D14" s="14">
        <f>7783.15+253.39+180.74+53.79+19.61+533.45+1029+31.72+165.71+3504.48+44181.38+11700+1289.95+0.86+500+15000+5100+14585.07+789+1523+7510.18+11776.01+18078.33+1100+1541.5+1013.24+3118.71+740-300</f>
        <v>152802.26999999996</v>
      </c>
      <c r="E14" s="14">
        <f>7866.04+179.8+8.33+14.18+528.87+1092+4624+68355.45+8634.11+1364.9-500+21.03+5100+13632.58+769.04+1727.86+14361.87+9976.65+9048.71+1100+23.2+821.01+672.75+4754.69+660</f>
        <v>154837.07</v>
      </c>
      <c r="F14" s="14">
        <f>7884.46+101.72+13.77+508.43+1371+4838.01+71075.87+10342.89+1401.31+226.18+4800+14634.98+852.2+11114.21+9107.11+9389.98+1000+10+777.13</f>
        <v>149449.24999999997</v>
      </c>
      <c r="G14" s="14">
        <f>7852.34+117.55+85.96+15.15+487.19+1686+4624.48+71836.48+8551.74+1312.89+228.09+4600+14678.56+894.06+1622.12+8778.1+11165.04+9187.64+1000+10+921.33+1401</f>
        <v>151055.72</v>
      </c>
      <c r="H14" s="25">
        <v>165072</v>
      </c>
      <c r="I14" s="28">
        <f>7807.02+179.18+7.58+17.68+643.49+1948+4624.48+74686.17+12385.94+1692.56+4200+23220.58+852.17+575+12585.23+14329.2+12998.15+900+10+483.97</f>
        <v>174146.40000000002</v>
      </c>
      <c r="J14" s="30">
        <f>7309.23+248.62+4.58+19.99+621.71+3105+16.22+4634.48+80620.6+10195.68+1374.07+4500+29512.86+637.06+1134.73+16239.82+8222.8+14437.65+1000+136.54+233.85</f>
        <v>184205.49000000005</v>
      </c>
      <c r="K14" s="30">
        <v>200046</v>
      </c>
      <c r="L14" s="30">
        <v>202436</v>
      </c>
      <c r="M14" s="30">
        <v>107613.63</v>
      </c>
    </row>
    <row r="15" spans="1:13" x14ac:dyDescent="0.2">
      <c r="A15" s="4" t="s">
        <v>34</v>
      </c>
      <c r="B15" s="17"/>
      <c r="C15" s="6">
        <v>235538</v>
      </c>
      <c r="D15" s="6">
        <f>35926.98+18063.74+14904.4+29737.76+2768.21</f>
        <v>101401.09</v>
      </c>
      <c r="E15" s="6">
        <f>57266.83+517554.8-15636.23+23053.32</f>
        <v>582238.71999999997</v>
      </c>
      <c r="F15" s="6">
        <f>56435.88+29348.54-29348.54+17289.99</f>
        <v>73725.87</v>
      </c>
      <c r="G15" s="6">
        <f>53790.49+35000+12967.49</f>
        <v>101757.98</v>
      </c>
      <c r="H15" s="25">
        <v>392971</v>
      </c>
      <c r="I15" s="28">
        <f>38437.62+1012343-900543.24+10266.96</f>
        <v>160504.34000000011</v>
      </c>
      <c r="J15" s="30">
        <f>33021.92+27575.36+95585.09-228190.58+9454.95</f>
        <v>-62553.259999999995</v>
      </c>
      <c r="K15" s="30">
        <v>122477</v>
      </c>
      <c r="L15" s="30">
        <v>79098</v>
      </c>
      <c r="M15" s="42">
        <v>42438.86</v>
      </c>
    </row>
    <row r="16" spans="1:13" x14ac:dyDescent="0.2">
      <c r="A16" s="4" t="s">
        <v>10</v>
      </c>
      <c r="B16" s="17"/>
      <c r="C16" s="6">
        <v>25671</v>
      </c>
      <c r="D16" s="6">
        <v>38344.230000000003</v>
      </c>
      <c r="E16" s="6">
        <v>19785.43</v>
      </c>
      <c r="F16" s="6">
        <v>12577.5</v>
      </c>
      <c r="G16" s="6">
        <v>10679.22</v>
      </c>
      <c r="H16" s="25">
        <v>12765</v>
      </c>
      <c r="I16" s="28">
        <v>13929.5</v>
      </c>
      <c r="J16" s="30">
        <v>14987.9</v>
      </c>
      <c r="K16" s="40">
        <v>14401.59</v>
      </c>
      <c r="L16" s="40">
        <v>11539.09</v>
      </c>
      <c r="M16" s="40">
        <v>7664.75</v>
      </c>
    </row>
    <row r="17" spans="1:13" x14ac:dyDescent="0.2">
      <c r="A17" s="8"/>
      <c r="B17" s="8"/>
      <c r="C17" s="9"/>
      <c r="D17" s="9"/>
      <c r="E17" s="9"/>
      <c r="F17" s="9"/>
      <c r="G17" s="9"/>
      <c r="H17" s="27"/>
      <c r="I17" s="29"/>
      <c r="J17" s="29"/>
      <c r="K17" s="36"/>
      <c r="L17" s="36"/>
      <c r="M17" s="36"/>
    </row>
    <row r="18" spans="1:13" x14ac:dyDescent="0.2">
      <c r="A18" s="10" t="s">
        <v>11</v>
      </c>
      <c r="B18" s="17"/>
      <c r="C18" s="6">
        <v>601644</v>
      </c>
      <c r="D18" s="6">
        <f>SUM(D11:D16)</f>
        <v>422474.76200499991</v>
      </c>
      <c r="E18" s="6">
        <f>SUM(E11:E16)</f>
        <v>913726.69111500005</v>
      </c>
      <c r="F18" s="6">
        <f>SUM(F11:F16)</f>
        <v>379183.97991895</v>
      </c>
      <c r="G18" s="6">
        <f>SUM(G11:G16)</f>
        <v>394107.15127522498</v>
      </c>
      <c r="H18" s="25">
        <v>693363</v>
      </c>
      <c r="I18" s="28">
        <f>SUM(I11:I16)</f>
        <v>463569.21000000008</v>
      </c>
      <c r="J18" s="28">
        <f>SUM(J11:J16)</f>
        <v>253364.25610000003</v>
      </c>
      <c r="K18" s="28">
        <f>SUM(K11:K16)</f>
        <v>466729.33610000001</v>
      </c>
      <c r="L18" s="28">
        <f>SUM(L11:L16)</f>
        <v>407074.32282200002</v>
      </c>
      <c r="M18" s="28">
        <f>SUM(M11:M16)</f>
        <v>264312.27527844004</v>
      </c>
    </row>
    <row r="19" spans="1:13" x14ac:dyDescent="0.2">
      <c r="A19" s="11"/>
      <c r="B19" s="8"/>
      <c r="C19" s="9"/>
      <c r="D19" s="9"/>
      <c r="E19" s="9"/>
      <c r="F19" s="9"/>
      <c r="G19" s="9"/>
      <c r="H19" s="27"/>
      <c r="I19" s="29"/>
      <c r="J19" s="29"/>
      <c r="K19" s="36"/>
      <c r="L19" s="36"/>
      <c r="M19" s="36"/>
    </row>
    <row r="20" spans="1:13" x14ac:dyDescent="0.2">
      <c r="A20" s="10" t="s">
        <v>35</v>
      </c>
      <c r="B20" s="18"/>
      <c r="C20" s="6">
        <v>31591</v>
      </c>
      <c r="D20" s="6">
        <f>D8-D18</f>
        <v>259365.00799500011</v>
      </c>
      <c r="E20" s="6">
        <f>E8-E18</f>
        <v>-239032.33111499995</v>
      </c>
      <c r="F20" s="6">
        <f>F8-F18</f>
        <v>303092.69008105004</v>
      </c>
      <c r="G20" s="6">
        <f>G8-G18</f>
        <v>276315.0987247749</v>
      </c>
      <c r="H20" s="25">
        <v>24269</v>
      </c>
      <c r="I20" s="28">
        <f>I8-I18</f>
        <v>252386.75999999989</v>
      </c>
      <c r="J20" s="28">
        <f>J8-J18</f>
        <v>456740.7439</v>
      </c>
      <c r="K20" s="28">
        <f>K8-K18</f>
        <v>303734.73390000005</v>
      </c>
      <c r="L20" s="28">
        <f>L8-L18</f>
        <v>385914.817178</v>
      </c>
      <c r="M20" s="28">
        <f>M8-M18</f>
        <v>382480.12472155999</v>
      </c>
    </row>
    <row r="21" spans="1:13" x14ac:dyDescent="0.2">
      <c r="A21" s="11"/>
      <c r="B21" s="11"/>
      <c r="C21" s="9"/>
      <c r="D21" s="9"/>
      <c r="E21" s="9"/>
      <c r="F21" s="9"/>
      <c r="G21" s="9"/>
      <c r="H21" s="27"/>
      <c r="I21" s="27"/>
      <c r="J21" s="27"/>
      <c r="K21" s="35"/>
      <c r="L21" s="35"/>
      <c r="M21" s="35"/>
    </row>
    <row r="22" spans="1:13" x14ac:dyDescent="0.2">
      <c r="A22" s="10" t="s">
        <v>12</v>
      </c>
      <c r="B22" s="22"/>
      <c r="C22" s="12"/>
      <c r="D22" s="12"/>
      <c r="E22" s="12"/>
      <c r="F22" s="12"/>
      <c r="G22" s="12"/>
      <c r="H22" s="4"/>
      <c r="I22" s="4"/>
      <c r="J22" s="4"/>
    </row>
    <row r="23" spans="1:13" s="15" customFormat="1" x14ac:dyDescent="0.2">
      <c r="A23" s="4" t="s">
        <v>13</v>
      </c>
      <c r="B23" s="19"/>
      <c r="C23" s="12">
        <v>815</v>
      </c>
      <c r="D23" s="12">
        <v>538</v>
      </c>
      <c r="E23" s="12">
        <v>379</v>
      </c>
      <c r="F23" s="12">
        <v>388</v>
      </c>
      <c r="G23" s="12">
        <v>333</v>
      </c>
      <c r="H23" s="4">
        <v>351</v>
      </c>
      <c r="I23" s="4">
        <v>412</v>
      </c>
      <c r="J23" s="4">
        <v>402</v>
      </c>
      <c r="K23" s="33">
        <v>475</v>
      </c>
      <c r="L23" s="15">
        <v>286</v>
      </c>
      <c r="M23" s="15">
        <v>96</v>
      </c>
    </row>
    <row r="24" spans="1:13" s="15" customFormat="1" x14ac:dyDescent="0.2">
      <c r="A24" s="4" t="s">
        <v>14</v>
      </c>
      <c r="B24" s="19"/>
      <c r="C24" s="12">
        <v>2635</v>
      </c>
      <c r="D24" s="12">
        <v>3193</v>
      </c>
      <c r="E24" s="12">
        <v>2337</v>
      </c>
      <c r="F24" s="12">
        <v>2118</v>
      </c>
      <c r="G24" s="12">
        <v>1463</v>
      </c>
      <c r="H24" s="4">
        <v>1853</v>
      </c>
      <c r="I24" s="4">
        <v>1732</v>
      </c>
      <c r="J24" s="4">
        <v>1803</v>
      </c>
      <c r="K24" s="33">
        <v>1550</v>
      </c>
      <c r="L24" s="15">
        <v>1458</v>
      </c>
      <c r="M24" s="15">
        <v>889</v>
      </c>
    </row>
    <row r="25" spans="1:13" s="15" customFormat="1" x14ac:dyDescent="0.2">
      <c r="A25" s="4" t="s">
        <v>15</v>
      </c>
      <c r="B25" s="19"/>
      <c r="C25" s="12">
        <f>C23+C24</f>
        <v>3450</v>
      </c>
      <c r="D25" s="12">
        <f>D23+D24</f>
        <v>3731</v>
      </c>
      <c r="E25" s="12">
        <v>2716</v>
      </c>
      <c r="F25" s="12">
        <v>2506</v>
      </c>
      <c r="G25" s="12">
        <v>1796</v>
      </c>
      <c r="H25" s="4">
        <v>2204</v>
      </c>
      <c r="I25" s="4">
        <v>2144</v>
      </c>
      <c r="J25" s="4">
        <v>2205</v>
      </c>
      <c r="K25" s="33">
        <v>2025</v>
      </c>
      <c r="L25" s="15">
        <f>SUM(L23:L24)</f>
        <v>1744</v>
      </c>
      <c r="M25" s="15">
        <f>SUM(M23:M24)</f>
        <v>985</v>
      </c>
    </row>
    <row r="26" spans="1:13" s="15" customFormat="1" x14ac:dyDescent="0.2">
      <c r="A26" s="4" t="s">
        <v>16</v>
      </c>
      <c r="B26" s="19"/>
      <c r="C26" s="12">
        <v>2788</v>
      </c>
      <c r="D26" s="12">
        <v>2998</v>
      </c>
      <c r="E26" s="12">
        <v>2199</v>
      </c>
      <c r="F26" s="12">
        <v>2471</v>
      </c>
      <c r="G26" s="12">
        <v>1749</v>
      </c>
      <c r="H26" s="4">
        <v>1772</v>
      </c>
      <c r="I26" s="4">
        <v>1769</v>
      </c>
      <c r="J26" s="4">
        <v>1871</v>
      </c>
      <c r="K26" s="33">
        <v>1639</v>
      </c>
      <c r="L26" s="15">
        <v>1390</v>
      </c>
      <c r="M26" s="15">
        <v>781</v>
      </c>
    </row>
    <row r="27" spans="1:13" s="15" customFormat="1" x14ac:dyDescent="0.2">
      <c r="A27" s="4" t="s">
        <v>17</v>
      </c>
      <c r="B27" s="19"/>
      <c r="C27" s="12">
        <v>2407</v>
      </c>
      <c r="D27" s="12">
        <v>2672</v>
      </c>
      <c r="E27" s="12">
        <v>1983</v>
      </c>
      <c r="F27" s="12">
        <v>1813</v>
      </c>
      <c r="G27" s="12">
        <v>1270</v>
      </c>
      <c r="H27" s="4">
        <v>1478</v>
      </c>
      <c r="I27" s="4">
        <v>1493</v>
      </c>
      <c r="J27" s="4">
        <v>1659</v>
      </c>
      <c r="K27" s="33">
        <v>1434</v>
      </c>
      <c r="L27" s="15">
        <v>1170</v>
      </c>
      <c r="M27" s="15">
        <v>658</v>
      </c>
    </row>
    <row r="28" spans="1:13" s="15" customFormat="1" x14ac:dyDescent="0.2">
      <c r="A28" s="4" t="s">
        <v>18</v>
      </c>
      <c r="B28" s="19"/>
      <c r="C28" s="12">
        <v>212</v>
      </c>
      <c r="D28" s="12">
        <v>198</v>
      </c>
      <c r="E28" s="12">
        <v>173</v>
      </c>
      <c r="F28" s="12">
        <v>121</v>
      </c>
      <c r="G28" s="12">
        <v>106</v>
      </c>
      <c r="H28" s="4">
        <v>170</v>
      </c>
      <c r="I28" s="4">
        <v>170</v>
      </c>
      <c r="J28" s="4">
        <v>137</v>
      </c>
      <c r="K28" s="33">
        <v>169</v>
      </c>
      <c r="L28" s="15">
        <v>121</v>
      </c>
      <c r="M28" s="15">
        <v>67</v>
      </c>
    </row>
    <row r="29" spans="1:13" s="15" customFormat="1" x14ac:dyDescent="0.2">
      <c r="A29" s="4" t="s">
        <v>19</v>
      </c>
      <c r="B29" s="19"/>
      <c r="C29" s="12">
        <v>50</v>
      </c>
      <c r="D29" s="12">
        <v>46</v>
      </c>
      <c r="E29" s="12">
        <v>43</v>
      </c>
      <c r="F29" s="12">
        <v>20</v>
      </c>
      <c r="G29" s="12">
        <v>25</v>
      </c>
      <c r="H29" s="4">
        <v>62</v>
      </c>
      <c r="I29" s="4">
        <v>49</v>
      </c>
      <c r="J29" s="4">
        <v>41</v>
      </c>
      <c r="K29" s="33">
        <v>36</v>
      </c>
      <c r="L29" s="15">
        <v>98</v>
      </c>
      <c r="M29" s="15">
        <v>56</v>
      </c>
    </row>
    <row r="30" spans="1:13" x14ac:dyDescent="0.2">
      <c r="A30" s="4" t="s">
        <v>20</v>
      </c>
      <c r="B30" s="19"/>
      <c r="C30" s="12">
        <v>1211</v>
      </c>
      <c r="D30" s="12">
        <v>1238</v>
      </c>
      <c r="E30" s="12">
        <v>143</v>
      </c>
      <c r="F30" s="12">
        <v>53</v>
      </c>
      <c r="G30" s="12">
        <v>78</v>
      </c>
      <c r="H30" s="4">
        <v>710</v>
      </c>
      <c r="I30" s="4">
        <v>636</v>
      </c>
      <c r="J30" s="4">
        <v>648</v>
      </c>
      <c r="K30" s="33">
        <v>80</v>
      </c>
      <c r="L30" s="1">
        <v>50</v>
      </c>
      <c r="M30" s="1">
        <v>22</v>
      </c>
    </row>
    <row r="31" spans="1:13" x14ac:dyDescent="0.2">
      <c r="A31" s="4" t="s">
        <v>21</v>
      </c>
      <c r="B31" s="19"/>
      <c r="C31" s="12">
        <v>503</v>
      </c>
      <c r="D31" s="12">
        <v>431</v>
      </c>
      <c r="E31" s="12">
        <v>53</v>
      </c>
      <c r="F31" s="12">
        <v>30</v>
      </c>
      <c r="G31" s="12">
        <v>44</v>
      </c>
      <c r="H31" s="4">
        <v>271</v>
      </c>
      <c r="I31" s="4">
        <v>263</v>
      </c>
      <c r="J31" s="4">
        <v>231</v>
      </c>
      <c r="K31" s="33">
        <v>24</v>
      </c>
      <c r="L31" s="1">
        <v>14</v>
      </c>
      <c r="M31" s="1">
        <v>7</v>
      </c>
    </row>
    <row r="32" spans="1:13" x14ac:dyDescent="0.2">
      <c r="A32" s="4" t="s">
        <v>22</v>
      </c>
      <c r="B32" s="19"/>
      <c r="C32" s="12">
        <v>111</v>
      </c>
      <c r="D32" s="12">
        <v>37</v>
      </c>
      <c r="E32" s="12">
        <v>10</v>
      </c>
      <c r="F32" s="12">
        <v>3</v>
      </c>
      <c r="G32" s="12">
        <v>4</v>
      </c>
      <c r="H32" s="4">
        <v>80</v>
      </c>
      <c r="I32" s="4">
        <v>24</v>
      </c>
      <c r="J32" s="4">
        <v>28</v>
      </c>
      <c r="K32" s="33">
        <v>21</v>
      </c>
      <c r="L32" s="1">
        <v>1</v>
      </c>
      <c r="M32" s="1">
        <v>1</v>
      </c>
    </row>
    <row r="33" spans="1:13" x14ac:dyDescent="0.2">
      <c r="A33" s="4" t="s">
        <v>23</v>
      </c>
      <c r="B33" s="19"/>
      <c r="C33" s="12">
        <v>709</v>
      </c>
      <c r="D33" s="12">
        <v>807</v>
      </c>
      <c r="E33" s="12">
        <v>80</v>
      </c>
      <c r="F33" s="12">
        <v>20</v>
      </c>
      <c r="G33" s="12">
        <v>30</v>
      </c>
      <c r="H33" s="4">
        <v>422</v>
      </c>
      <c r="I33" s="4">
        <v>372</v>
      </c>
      <c r="J33" s="4">
        <v>416</v>
      </c>
      <c r="K33" s="33">
        <v>20</v>
      </c>
      <c r="L33" s="1">
        <v>35</v>
      </c>
      <c r="M33" s="1">
        <v>15</v>
      </c>
    </row>
    <row r="34" spans="1:13" x14ac:dyDescent="0.2">
      <c r="A34" s="11"/>
      <c r="B34" s="8"/>
      <c r="C34" s="9"/>
      <c r="D34" s="9"/>
      <c r="E34" s="9"/>
      <c r="F34" s="9"/>
      <c r="G34" s="9"/>
      <c r="H34" s="27"/>
      <c r="I34" s="27"/>
      <c r="J34" s="27"/>
      <c r="K34" s="36"/>
      <c r="L34" s="36"/>
      <c r="M34" s="36"/>
    </row>
    <row r="35" spans="1:13" x14ac:dyDescent="0.2">
      <c r="A35" s="10" t="s">
        <v>24</v>
      </c>
      <c r="B35" s="19"/>
      <c r="C35" s="12"/>
      <c r="D35" s="12"/>
      <c r="E35" s="12"/>
      <c r="F35" s="12"/>
      <c r="G35" s="12"/>
      <c r="H35" s="4"/>
      <c r="I35" s="4"/>
      <c r="J35" s="4"/>
    </row>
    <row r="36" spans="1:13" x14ac:dyDescent="0.2">
      <c r="A36" s="4" t="s">
        <v>25</v>
      </c>
      <c r="B36" s="19"/>
      <c r="C36" s="12">
        <v>11</v>
      </c>
      <c r="D36" s="12">
        <v>20</v>
      </c>
      <c r="E36" s="12">
        <v>19</v>
      </c>
      <c r="F36" s="12">
        <v>10</v>
      </c>
      <c r="G36" s="12">
        <v>7</v>
      </c>
      <c r="H36" s="4">
        <v>3</v>
      </c>
      <c r="I36" s="4">
        <v>3</v>
      </c>
      <c r="J36" s="4">
        <v>2</v>
      </c>
      <c r="K36" s="33">
        <v>5</v>
      </c>
      <c r="L36" s="1">
        <v>4</v>
      </c>
      <c r="M36" s="1">
        <v>3</v>
      </c>
    </row>
    <row r="37" spans="1:13" x14ac:dyDescent="0.2">
      <c r="A37" s="4" t="s">
        <v>26</v>
      </c>
      <c r="B37" s="20"/>
      <c r="C37" s="16">
        <v>3.0000000000000001E-3</v>
      </c>
      <c r="D37" s="16">
        <v>6.0000000000000001E-3</v>
      </c>
      <c r="E37" s="16">
        <v>7.0000000000000001E-3</v>
      </c>
      <c r="F37" s="16">
        <v>4.0000000000000001E-3</v>
      </c>
      <c r="G37" s="16">
        <v>4.0000000000000001E-3</v>
      </c>
      <c r="H37" s="26">
        <v>4.0000000000000003E-5</v>
      </c>
      <c r="I37" s="26">
        <v>1E-3</v>
      </c>
      <c r="J37" s="31">
        <v>0</v>
      </c>
      <c r="K37" s="34">
        <v>2.5000000000000001E-3</v>
      </c>
      <c r="L37" s="34">
        <v>2.5000000000000001E-3</v>
      </c>
      <c r="M37" s="34">
        <v>2.5000000000000001E-3</v>
      </c>
    </row>
    <row r="38" spans="1:13" x14ac:dyDescent="0.2">
      <c r="A38" s="4" t="s">
        <v>27</v>
      </c>
      <c r="B38" s="19"/>
      <c r="C38" s="12">
        <v>5</v>
      </c>
      <c r="D38" s="12">
        <v>5</v>
      </c>
      <c r="E38" s="12">
        <v>11</v>
      </c>
      <c r="F38" s="12">
        <v>3</v>
      </c>
      <c r="G38" s="12">
        <v>4</v>
      </c>
      <c r="H38" s="4">
        <v>1</v>
      </c>
      <c r="I38" s="4">
        <v>1</v>
      </c>
      <c r="J38" s="4">
        <v>0</v>
      </c>
      <c r="K38" s="33">
        <v>1</v>
      </c>
      <c r="L38" s="1">
        <v>2</v>
      </c>
      <c r="M38" s="1">
        <v>0</v>
      </c>
    </row>
    <row r="39" spans="1:13" x14ac:dyDescent="0.2">
      <c r="A39" s="4" t="s">
        <v>28</v>
      </c>
      <c r="B39" s="19"/>
      <c r="C39" s="12">
        <v>4</v>
      </c>
      <c r="D39" s="12">
        <v>6</v>
      </c>
      <c r="E39" s="12">
        <v>5</v>
      </c>
      <c r="F39" s="12">
        <v>2</v>
      </c>
      <c r="G39" s="12">
        <v>2</v>
      </c>
      <c r="H39" s="4">
        <v>0</v>
      </c>
      <c r="I39" s="4">
        <v>1</v>
      </c>
      <c r="J39" s="4">
        <v>2</v>
      </c>
      <c r="K39" s="33">
        <v>3</v>
      </c>
      <c r="L39" s="1">
        <v>1</v>
      </c>
      <c r="M39" s="1">
        <v>2</v>
      </c>
    </row>
    <row r="40" spans="1:13" x14ac:dyDescent="0.2">
      <c r="A40" s="4" t="s">
        <v>29</v>
      </c>
      <c r="B40" s="19"/>
      <c r="C40" s="12">
        <v>2</v>
      </c>
      <c r="D40" s="12">
        <v>9</v>
      </c>
      <c r="E40" s="12">
        <v>2</v>
      </c>
      <c r="F40" s="12">
        <v>5</v>
      </c>
      <c r="G40" s="12">
        <v>1</v>
      </c>
      <c r="H40" s="4">
        <v>2</v>
      </c>
      <c r="I40" s="4">
        <v>1</v>
      </c>
      <c r="J40" s="4">
        <v>0</v>
      </c>
      <c r="K40" s="33">
        <v>1</v>
      </c>
      <c r="L40" s="1">
        <v>1</v>
      </c>
      <c r="M40" s="1">
        <v>1</v>
      </c>
    </row>
    <row r="41" spans="1:13" x14ac:dyDescent="0.2">
      <c r="A41" s="4" t="s">
        <v>30</v>
      </c>
      <c r="B41" s="19"/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4">
        <v>0</v>
      </c>
      <c r="I41" s="4">
        <v>0</v>
      </c>
      <c r="J41" s="4">
        <v>0</v>
      </c>
      <c r="K41" s="33">
        <v>0</v>
      </c>
      <c r="L41" s="1">
        <v>0</v>
      </c>
      <c r="M41" s="1">
        <v>0</v>
      </c>
    </row>
    <row r="42" spans="1:13" ht="15" x14ac:dyDescent="0.2">
      <c r="A42" s="13"/>
    </row>
    <row r="43" spans="1:13" ht="15" x14ac:dyDescent="0.2">
      <c r="A43" s="13"/>
    </row>
  </sheetData>
  <phoneticPr fontId="7" type="noConversion"/>
  <pageMargins left="0.75" right="0.75" top="1" bottom="1" header="0.5" footer="0.5"/>
  <pageSetup paperSize="8" scale="41" orientation="landscape" r:id="rId1"/>
  <headerFooter alignWithMargins="0"/>
  <ignoredErrors>
    <ignoredError sqref="G11" unlockedFormula="1"/>
  </ignoredErrors>
</worksheet>
</file>

<file path=docMetadata/LabelInfo.xml><?xml version="1.0" encoding="utf-8"?>
<clbl:labelList xmlns:clbl="http://schemas.microsoft.com/office/2020/mipLabelMetadata">
  <clbl:label id="{8fd7c08e-9c24-436d-a6ad-a8ecb8394d49}" enabled="1" method="Standard" siteId="{6e5a37bb-a961-4e4f-baae-2798a2245f3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Derbyshire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Adams</dc:creator>
  <cp:lastModifiedBy>Leigh, Pam</cp:lastModifiedBy>
  <cp:lastPrinted>2011-06-06T11:17:29Z</cp:lastPrinted>
  <dcterms:created xsi:type="dcterms:W3CDTF">2011-06-06T10:45:46Z</dcterms:created>
  <dcterms:modified xsi:type="dcterms:W3CDTF">2025-05-06T09:50:25Z</dcterms:modified>
</cp:coreProperties>
</file>